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autoCompressPictures="0"/>
  <bookViews>
    <workbookView xWindow="0" yWindow="1080" windowWidth="35240" windowHeight="18140" tabRatio="500" firstSheet="1" activeTab="1"/>
  </bookViews>
  <sheets>
    <sheet name="Irvine" sheetId="7" r:id="rId1"/>
    <sheet name="CSTKAM" sheetId="10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0" l="1"/>
  <c r="E3" i="10"/>
  <c r="K3" i="10"/>
  <c r="L3" i="10"/>
  <c r="I3" i="10"/>
  <c r="H3" i="10"/>
  <c r="G3" i="10"/>
  <c r="B2" i="10"/>
  <c r="E2" i="10"/>
  <c r="K2" i="10"/>
  <c r="L2" i="10"/>
  <c r="I2" i="10"/>
  <c r="H2" i="10"/>
  <c r="G2" i="10"/>
  <c r="B8" i="7"/>
  <c r="E8" i="7"/>
  <c r="J8" i="7"/>
  <c r="K8" i="7"/>
  <c r="L8" i="7"/>
  <c r="M8" i="7"/>
  <c r="I8" i="7"/>
  <c r="H8" i="7"/>
  <c r="G8" i="7"/>
  <c r="B7" i="7"/>
  <c r="E7" i="7"/>
  <c r="J7" i="7"/>
  <c r="K7" i="7"/>
  <c r="L7" i="7"/>
  <c r="M7" i="7"/>
  <c r="I7" i="7"/>
  <c r="H7" i="7"/>
  <c r="G7" i="7"/>
  <c r="B5" i="7"/>
  <c r="E5" i="7"/>
  <c r="J5" i="7"/>
  <c r="K5" i="7"/>
  <c r="L5" i="7"/>
  <c r="M5" i="7"/>
  <c r="I5" i="7"/>
  <c r="H5" i="7"/>
  <c r="G5" i="7"/>
  <c r="B4" i="7"/>
  <c r="E4" i="7"/>
  <c r="J4" i="7"/>
  <c r="K4" i="7"/>
  <c r="L4" i="7"/>
  <c r="M4" i="7"/>
  <c r="I4" i="7"/>
  <c r="H4" i="7"/>
  <c r="G4" i="7"/>
  <c r="J3" i="7"/>
  <c r="K3" i="7"/>
  <c r="L3" i="7"/>
  <c r="M3" i="7"/>
  <c r="I3" i="7"/>
  <c r="H3" i="7"/>
  <c r="G3" i="7"/>
  <c r="B2" i="7"/>
  <c r="E2" i="7"/>
  <c r="J2" i="7"/>
  <c r="K2" i="7"/>
  <c r="L2" i="7"/>
  <c r="M2" i="7"/>
  <c r="I2" i="7"/>
  <c r="H2" i="7"/>
  <c r="G2" i="7"/>
</calcChain>
</file>

<file path=xl/sharedStrings.xml><?xml version="1.0" encoding="utf-8"?>
<sst xmlns="http://schemas.openxmlformats.org/spreadsheetml/2006/main" count="41" uniqueCount="26">
  <si>
    <t>Engine</t>
  </si>
  <si>
    <t>Stroke</t>
  </si>
  <si>
    <t>AK-002</t>
  </si>
  <si>
    <t>Bore</t>
  </si>
  <si>
    <t>TDC</t>
  </si>
  <si>
    <t>TDC in.</t>
  </si>
  <si>
    <t>Rod length mm</t>
  </si>
  <si>
    <t>Ex.port height</t>
  </si>
  <si>
    <t>Capacity</t>
  </si>
  <si>
    <t>Exhaust</t>
  </si>
  <si>
    <t>Head shims in.</t>
  </si>
  <si>
    <t>Head clearance in.</t>
  </si>
  <si>
    <t>Head clearance mm</t>
  </si>
  <si>
    <t>C.R.</t>
  </si>
  <si>
    <t>Head volume</t>
  </si>
  <si>
    <t>Head type</t>
  </si>
  <si>
    <t>Irvine</t>
  </si>
  <si>
    <t>"0023"</t>
  </si>
  <si>
    <t>Irvine #3</t>
  </si>
  <si>
    <t>ЦСТКАМ</t>
  </si>
  <si>
    <t>"07-02"</t>
  </si>
  <si>
    <t>Irvine 0023</t>
  </si>
  <si>
    <t>"13"</t>
  </si>
  <si>
    <t>ЦСТКАМ AAC</t>
  </si>
  <si>
    <t>"13" play</t>
  </si>
  <si>
    <t>DoubleBubble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</si>
</sst>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6" formatCode="0.0000"/>
    <numFmt numFmtId="167" formatCode="0.0"/>
    <numFmt numFmtId="169" formatCode="#,##0.0"/>
  </numFmts>
  <fonts count="11" x14ac:knownFonts="1">
    <font>
      <sz val="10"/>
      <color rgb="FF000000"/>
      <name val="Arial"/>
    </font>
    <font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FF"/>
      <name val="Arial"/>
    </font>
    <font>
      <sz val="10"/>
      <color rgb="FFFF0000"/>
      <name val="Arial"/>
    </font>
    <font>
      <b/>
      <i/>
      <sz val="10"/>
      <color rgb="FF000000"/>
      <name val="Arial"/>
    </font>
    <font>
      <i/>
      <sz val="10"/>
      <color rgb="FF000000"/>
      <name val="Arial"/>
    </font>
    <font>
      <i/>
      <sz val="10"/>
      <color rgb="FF0000FF"/>
      <name val="Arial"/>
    </font>
    <font>
      <b/>
      <i/>
      <sz val="10"/>
      <color rgb="FFFF0000"/>
      <name val="Arial"/>
    </font>
    <font>
      <b/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166" fontId="3" fillId="0" borderId="0" xfId="0" applyNumberFormat="1" applyFont="1" applyAlignment="1">
      <alignment horizontal="center" wrapText="1"/>
    </xf>
    <xf numFmtId="2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 wrapText="1"/>
    </xf>
    <xf numFmtId="166" fontId="4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6" fillId="2" borderId="0" xfId="0" applyFont="1" applyFill="1" applyAlignment="1">
      <alignment horizontal="left"/>
    </xf>
    <xf numFmtId="2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Alignment="1">
      <alignment horizontal="center"/>
    </xf>
    <xf numFmtId="169" fontId="1" fillId="2" borderId="0" xfId="0" applyNumberFormat="1" applyFont="1" applyFill="1" applyAlignment="1">
      <alignment horizontal="center" wrapText="1"/>
    </xf>
    <xf numFmtId="2" fontId="7" fillId="2" borderId="0" xfId="0" applyNumberFormat="1" applyFont="1" applyFill="1" applyAlignment="1">
      <alignment horizontal="center"/>
    </xf>
    <xf numFmtId="166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7" fontId="7" fillId="2" borderId="0" xfId="0" applyNumberFormat="1" applyFont="1" applyFill="1" applyAlignment="1">
      <alignment horizontal="center"/>
    </xf>
    <xf numFmtId="166" fontId="6" fillId="2" borderId="0" xfId="0" applyNumberFormat="1" applyFont="1" applyFill="1" applyAlignment="1">
      <alignment horizontal="center"/>
    </xf>
    <xf numFmtId="166" fontId="8" fillId="2" borderId="0" xfId="0" applyNumberFormat="1" applyFont="1" applyFill="1" applyAlignment="1">
      <alignment horizontal="center"/>
    </xf>
    <xf numFmtId="2" fontId="6" fillId="2" borderId="0" xfId="0" applyNumberFormat="1" applyFont="1" applyFill="1" applyAlignment="1">
      <alignment horizontal="center"/>
    </xf>
    <xf numFmtId="2" fontId="9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6" fillId="3" borderId="0" xfId="0" applyFont="1" applyFill="1" applyAlignment="1">
      <alignment horizontal="left"/>
    </xf>
    <xf numFmtId="2" fontId="7" fillId="3" borderId="0" xfId="0" applyNumberFormat="1" applyFont="1" applyFill="1" applyAlignment="1">
      <alignment horizontal="center"/>
    </xf>
    <xf numFmtId="4" fontId="7" fillId="3" borderId="0" xfId="0" applyNumberFormat="1" applyFont="1" applyFill="1" applyAlignment="1">
      <alignment horizontal="center"/>
    </xf>
    <xf numFmtId="169" fontId="1" fillId="3" borderId="0" xfId="0" applyNumberFormat="1" applyFont="1" applyFill="1" applyAlignment="1">
      <alignment horizontal="center" wrapText="1"/>
    </xf>
    <xf numFmtId="166" fontId="7" fillId="3" borderId="0" xfId="0" applyNumberFormat="1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7" fontId="7" fillId="3" borderId="0" xfId="0" applyNumberFormat="1" applyFont="1" applyFill="1" applyAlignment="1">
      <alignment horizontal="center"/>
    </xf>
    <xf numFmtId="166" fontId="6" fillId="3" borderId="0" xfId="0" applyNumberFormat="1" applyFont="1" applyFill="1" applyAlignment="1">
      <alignment horizontal="center"/>
    </xf>
    <xf numFmtId="166" fontId="8" fillId="3" borderId="0" xfId="0" applyNumberFormat="1" applyFont="1" applyFill="1" applyAlignment="1">
      <alignment horizontal="center"/>
    </xf>
    <xf numFmtId="2" fontId="6" fillId="3" borderId="0" xfId="0" applyNumberFormat="1" applyFont="1" applyFill="1" applyAlignment="1">
      <alignment horizontal="center"/>
    </xf>
    <xf numFmtId="2" fontId="9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wrapText="1"/>
    </xf>
    <xf numFmtId="0" fontId="10" fillId="0" borderId="0" xfId="0" applyFont="1" applyAlignment="1">
      <alignment horizontal="left" wrapText="1"/>
    </xf>
    <xf numFmtId="2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 wrapText="1"/>
    </xf>
    <xf numFmtId="0" fontId="1" fillId="2" borderId="0" xfId="0" applyFont="1" applyFill="1" applyAlignment="1">
      <alignment wrapText="1"/>
    </xf>
    <xf numFmtId="2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10" fillId="4" borderId="0" xfId="0" applyFont="1" applyFill="1" applyAlignment="1">
      <alignment horizontal="left" wrapText="1"/>
    </xf>
    <xf numFmtId="2" fontId="7" fillId="4" borderId="0" xfId="0" applyNumberFormat="1" applyFont="1" applyFill="1" applyAlignment="1">
      <alignment horizontal="center"/>
    </xf>
    <xf numFmtId="4" fontId="7" fillId="4" borderId="0" xfId="0" applyNumberFormat="1" applyFont="1" applyFill="1" applyAlignment="1">
      <alignment horizontal="center"/>
    </xf>
    <xf numFmtId="169" fontId="1" fillId="4" borderId="0" xfId="0" applyNumberFormat="1" applyFont="1" applyFill="1" applyAlignment="1">
      <alignment horizontal="center" wrapText="1"/>
    </xf>
    <xf numFmtId="166" fontId="7" fillId="4" borderId="0" xfId="0" applyNumberFormat="1" applyFont="1" applyFill="1" applyAlignment="1">
      <alignment horizontal="center"/>
    </xf>
    <xf numFmtId="164" fontId="7" fillId="4" borderId="0" xfId="0" applyNumberFormat="1" applyFont="1" applyFill="1" applyAlignment="1">
      <alignment horizontal="center"/>
    </xf>
    <xf numFmtId="167" fontId="7" fillId="4" borderId="0" xfId="0" applyNumberFormat="1" applyFont="1" applyFill="1" applyAlignment="1">
      <alignment horizontal="center"/>
    </xf>
    <xf numFmtId="0" fontId="1" fillId="0" borderId="0" xfId="0" applyFont="1" applyAlignment="1">
      <alignment horizontal="center" wrapText="1"/>
    </xf>
    <xf numFmtId="166" fontId="6" fillId="0" borderId="0" xfId="0" applyNumberFormat="1" applyFont="1" applyAlignment="1">
      <alignment horizontal="center"/>
    </xf>
    <xf numFmtId="166" fontId="8" fillId="4" borderId="0" xfId="0" applyNumberFormat="1" applyFont="1" applyFill="1" applyAlignment="1">
      <alignment horizontal="center"/>
    </xf>
    <xf numFmtId="2" fontId="6" fillId="4" borderId="0" xfId="0" applyNumberFormat="1" applyFont="1" applyFill="1" applyAlignment="1">
      <alignment horizontal="center"/>
    </xf>
    <xf numFmtId="2" fontId="9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 wrapText="1"/>
    </xf>
    <xf numFmtId="0" fontId="1" fillId="4" borderId="0" xfId="0" applyFont="1" applyFill="1" applyAlignment="1">
      <alignment wrapText="1"/>
    </xf>
    <xf numFmtId="0" fontId="10" fillId="5" borderId="0" xfId="0" applyFont="1" applyFill="1" applyAlignment="1">
      <alignment horizontal="left" wrapText="1"/>
    </xf>
    <xf numFmtId="2" fontId="7" fillId="5" borderId="0" xfId="0" applyNumberFormat="1" applyFont="1" applyFill="1" applyAlignment="1">
      <alignment horizontal="center"/>
    </xf>
    <xf numFmtId="4" fontId="7" fillId="5" borderId="0" xfId="0" applyNumberFormat="1" applyFont="1" applyFill="1" applyAlignment="1">
      <alignment horizontal="center"/>
    </xf>
    <xf numFmtId="169" fontId="1" fillId="5" borderId="0" xfId="0" applyNumberFormat="1" applyFont="1" applyFill="1" applyAlignment="1">
      <alignment horizontal="center" wrapText="1"/>
    </xf>
    <xf numFmtId="2" fontId="7" fillId="5" borderId="0" xfId="0" applyNumberFormat="1" applyFont="1" applyFill="1" applyAlignment="1">
      <alignment horizontal="center"/>
    </xf>
    <xf numFmtId="166" fontId="7" fillId="5" borderId="0" xfId="0" applyNumberFormat="1" applyFont="1" applyFill="1" applyAlignment="1">
      <alignment horizontal="center"/>
    </xf>
    <xf numFmtId="164" fontId="7" fillId="5" borderId="0" xfId="0" applyNumberFormat="1" applyFont="1" applyFill="1" applyAlignment="1">
      <alignment horizontal="center"/>
    </xf>
    <xf numFmtId="167" fontId="7" fillId="5" borderId="0" xfId="0" applyNumberFormat="1" applyFont="1" applyFill="1" applyAlignment="1">
      <alignment horizontal="center"/>
    </xf>
    <xf numFmtId="166" fontId="6" fillId="5" borderId="0" xfId="0" applyNumberFormat="1" applyFont="1" applyFill="1" applyAlignment="1">
      <alignment horizontal="center"/>
    </xf>
    <xf numFmtId="166" fontId="8" fillId="5" borderId="0" xfId="0" applyNumberFormat="1" applyFont="1" applyFill="1" applyAlignment="1">
      <alignment horizontal="center"/>
    </xf>
    <xf numFmtId="2" fontId="6" fillId="5" borderId="0" xfId="0" applyNumberFormat="1" applyFont="1" applyFill="1" applyAlignment="1">
      <alignment horizontal="center"/>
    </xf>
    <xf numFmtId="2" fontId="9" fillId="5" borderId="0" xfId="0" applyNumberFormat="1" applyFont="1" applyFill="1" applyAlignment="1">
      <alignment horizontal="center"/>
    </xf>
    <xf numFmtId="0" fontId="1" fillId="5" borderId="0" xfId="0" applyFont="1" applyFill="1" applyAlignment="1">
      <alignment horizontal="center" wrapText="1"/>
    </xf>
    <xf numFmtId="0" fontId="1" fillId="5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6" fillId="0" borderId="0" xfId="0" applyFont="1" applyAlignment="1">
      <alignment horizontal="left"/>
    </xf>
    <xf numFmtId="4" fontId="7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wrapText="1"/>
    </xf>
    <xf numFmtId="2" fontId="7" fillId="4" borderId="0" xfId="0" applyNumberFormat="1" applyFont="1" applyFill="1" applyAlignment="1">
      <alignment horizontal="center"/>
    </xf>
    <xf numFmtId="166" fontId="6" fillId="4" borderId="0" xfId="0" applyNumberFormat="1" applyFont="1" applyFill="1" applyAlignment="1">
      <alignment horizontal="center"/>
    </xf>
    <xf numFmtId="0" fontId="10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baseColWidth="10" defaultColWidth="14.5" defaultRowHeight="12.75" customHeight="1" x14ac:dyDescent="0"/>
  <cols>
    <col min="1" max="1" width="13.5" customWidth="1"/>
    <col min="2" max="6" width="6.5" customWidth="1"/>
    <col min="7" max="9" width="8" customWidth="1"/>
    <col min="10" max="12" width="8.6640625" customWidth="1"/>
    <col min="13" max="13" width="6.5" customWidth="1"/>
    <col min="14" max="14" width="8" customWidth="1"/>
    <col min="15" max="15" width="20" customWidth="1"/>
    <col min="16" max="16" width="10" customWidth="1"/>
    <col min="17" max="17" width="8.33203125" customWidth="1"/>
  </cols>
  <sheetData>
    <row r="1" spans="1:15" ht="13.5" customHeight="1">
      <c r="A1" s="1" t="s">
        <v>0</v>
      </c>
      <c r="B1" s="2" t="s">
        <v>1</v>
      </c>
      <c r="C1" s="2" t="s">
        <v>3</v>
      </c>
      <c r="D1" s="3" t="s">
        <v>6</v>
      </c>
      <c r="E1" s="4" t="s">
        <v>7</v>
      </c>
      <c r="F1" s="5" t="s">
        <v>4</v>
      </c>
      <c r="G1" s="5" t="s">
        <v>5</v>
      </c>
      <c r="H1" s="5" t="s">
        <v>8</v>
      </c>
      <c r="I1" s="6" t="s">
        <v>9</v>
      </c>
      <c r="J1" s="4" t="s">
        <v>10</v>
      </c>
      <c r="K1" s="7" t="s">
        <v>11</v>
      </c>
      <c r="L1" s="8" t="s">
        <v>12</v>
      </c>
      <c r="M1" s="9" t="s">
        <v>13</v>
      </c>
      <c r="N1" s="3" t="s">
        <v>14</v>
      </c>
      <c r="O1" s="10" t="s">
        <v>15</v>
      </c>
    </row>
    <row r="2" spans="1:15" ht="13.5" customHeight="1">
      <c r="A2" s="11" t="s">
        <v>2</v>
      </c>
      <c r="B2" s="12">
        <f>(0.652-0.102)*25.4</f>
        <v>13.97</v>
      </c>
      <c r="C2" s="13">
        <v>15.03</v>
      </c>
      <c r="D2" s="14">
        <v>27</v>
      </c>
      <c r="E2" s="12">
        <f>(0.652-0.375)*25.4</f>
        <v>7.0358000000000001</v>
      </c>
      <c r="F2" s="15">
        <v>2.59</v>
      </c>
      <c r="G2" s="16">
        <f t="shared" ref="G2:G5" si="0">F2/25.4</f>
        <v>0.10196850393700788</v>
      </c>
      <c r="H2" s="17">
        <f t="shared" ref="H2:H5" si="1">((C2/2)^2)*PI()*B2/1000</f>
        <v>2.4785874630185334</v>
      </c>
      <c r="I2" s="18">
        <f t="shared" ref="I2:I5" si="2">360/PI()*(PI()-ACOS((B2*B2/2+E2*E2-D2*B2-B2*E2+2*D2*E2)/B2/(D2-B2/2+E2)))</f>
        <v>195.67625479834342</v>
      </c>
      <c r="J2" s="19">
        <f>0.003+0.0016</f>
        <v>4.5999999999999999E-3</v>
      </c>
      <c r="K2" s="20">
        <f t="shared" ref="K2:K5" si="3">(F2/25.4)-0.098+J2</f>
        <v>8.5685039370078722E-3</v>
      </c>
      <c r="L2" s="21">
        <f t="shared" ref="L2:L5" si="4">K2*25.4</f>
        <v>0.21763999999999994</v>
      </c>
      <c r="M2" s="22">
        <f t="shared" ref="M2:M5" si="5">(PI()*C2*C2/4*(B2-E2+L2)+N2)/(PI()*C2*C2/4*L2+N2)</f>
        <v>6.8330872748705049</v>
      </c>
      <c r="N2" s="23">
        <v>172.3</v>
      </c>
      <c r="O2" s="40" t="s">
        <v>16</v>
      </c>
    </row>
    <row r="3" spans="1:15" ht="13.5" customHeight="1">
      <c r="A3" s="24" t="s">
        <v>17</v>
      </c>
      <c r="B3" s="25">
        <v>14.04</v>
      </c>
      <c r="C3" s="26">
        <v>15.045</v>
      </c>
      <c r="D3" s="27">
        <v>27</v>
      </c>
      <c r="E3" s="25">
        <v>7.07</v>
      </c>
      <c r="F3" s="25">
        <v>2.54</v>
      </c>
      <c r="G3" s="28">
        <f t="shared" si="0"/>
        <v>0.1</v>
      </c>
      <c r="H3" s="29">
        <f t="shared" si="1"/>
        <v>2.4959815646167578</v>
      </c>
      <c r="I3" s="30">
        <f t="shared" si="2"/>
        <v>195.73418484265542</v>
      </c>
      <c r="J3" s="31">
        <f>0.002+0.0019+0.0018+0.0017</f>
        <v>7.4000000000000003E-3</v>
      </c>
      <c r="K3" s="32">
        <f t="shared" si="3"/>
        <v>9.4000000000000021E-3</v>
      </c>
      <c r="L3" s="33">
        <f t="shared" si="4"/>
        <v>0.23876000000000003</v>
      </c>
      <c r="M3" s="34">
        <f t="shared" si="5"/>
        <v>6.9875644160477455</v>
      </c>
      <c r="N3" s="77">
        <v>164.5</v>
      </c>
      <c r="O3" s="35" t="s">
        <v>21</v>
      </c>
    </row>
    <row r="4" spans="1:15" ht="13.5" customHeight="1">
      <c r="A4" s="49" t="s">
        <v>22</v>
      </c>
      <c r="B4" s="82">
        <f>25.4*(0.6545-0.1045)</f>
        <v>13.969999999999997</v>
      </c>
      <c r="C4" s="51">
        <v>15.02</v>
      </c>
      <c r="D4" s="52">
        <v>27</v>
      </c>
      <c r="E4" s="82">
        <f>25.4*(0.6545-0.374)</f>
        <v>7.1246999999999989</v>
      </c>
      <c r="F4" s="50">
        <v>2.5750000000000002</v>
      </c>
      <c r="G4" s="53">
        <f t="shared" si="0"/>
        <v>0.10137795275590553</v>
      </c>
      <c r="H4" s="54">
        <f t="shared" si="1"/>
        <v>2.475290373309563</v>
      </c>
      <c r="I4" s="55">
        <f t="shared" si="2"/>
        <v>197.09560963737141</v>
      </c>
      <c r="J4" s="83">
        <f>0.00165+0.00165+0.003</f>
        <v>6.3E-3</v>
      </c>
      <c r="K4" s="58">
        <f t="shared" si="3"/>
        <v>9.6779527559055223E-3</v>
      </c>
      <c r="L4" s="59">
        <f t="shared" si="4"/>
        <v>0.24582000000000026</v>
      </c>
      <c r="M4" s="60">
        <f t="shared" si="5"/>
        <v>6.8436898256799648</v>
      </c>
      <c r="N4" s="61">
        <v>164</v>
      </c>
      <c r="O4" s="62" t="s">
        <v>18</v>
      </c>
    </row>
    <row r="5" spans="1:15" ht="13.5" customHeight="1">
      <c r="A5" s="63" t="s">
        <v>20</v>
      </c>
      <c r="B5" s="67">
        <f>(0.653-0.102)*25.4</f>
        <v>13.9954</v>
      </c>
      <c r="C5" s="65">
        <v>15.03</v>
      </c>
      <c r="D5" s="66">
        <v>27</v>
      </c>
      <c r="E5" s="67">
        <f>25.4*(0.653-0.374)</f>
        <v>7.0866000000000007</v>
      </c>
      <c r="F5" s="64">
        <v>2.59</v>
      </c>
      <c r="G5" s="68">
        <f t="shared" si="0"/>
        <v>0.10196850393700788</v>
      </c>
      <c r="H5" s="69">
        <f t="shared" si="1"/>
        <v>2.483093985678567</v>
      </c>
      <c r="I5" s="70">
        <f t="shared" si="2"/>
        <v>196.30925526230396</v>
      </c>
      <c r="J5" s="71">
        <f>0.003+0.002</f>
        <v>5.0000000000000001E-3</v>
      </c>
      <c r="K5" s="72">
        <f t="shared" si="3"/>
        <v>8.9685039370078733E-3</v>
      </c>
      <c r="L5" s="73">
        <f t="shared" si="4"/>
        <v>0.22779999999999997</v>
      </c>
      <c r="M5" s="74">
        <f t="shared" si="5"/>
        <v>6.7624708447699655</v>
      </c>
      <c r="N5" s="75">
        <v>172.3</v>
      </c>
      <c r="O5" s="76" t="s">
        <v>16</v>
      </c>
    </row>
    <row r="6" spans="1:15" ht="13.5" customHeight="1">
      <c r="A6" s="84"/>
      <c r="B6" s="37"/>
      <c r="C6" s="79"/>
      <c r="D6" s="80"/>
      <c r="E6" s="37"/>
      <c r="F6" s="37"/>
      <c r="G6" s="42"/>
      <c r="H6" s="43"/>
      <c r="I6" s="44"/>
      <c r="J6" s="57"/>
      <c r="K6" s="46"/>
      <c r="L6" s="47"/>
      <c r="M6" s="48"/>
      <c r="N6" s="56"/>
    </row>
    <row r="7" spans="1:15" ht="13.5" customHeight="1">
      <c r="A7" s="49" t="s">
        <v>24</v>
      </c>
      <c r="B7" s="82">
        <f t="shared" ref="B7:B8" si="6">25.4*(0.6535-0.104)</f>
        <v>13.957299999999998</v>
      </c>
      <c r="C7" s="51">
        <v>15.02</v>
      </c>
      <c r="D7" s="52">
        <v>27</v>
      </c>
      <c r="E7" s="82">
        <f t="shared" ref="E7:E8" si="7">25.4*(0.6535-0.377)</f>
        <v>7.0230999999999986</v>
      </c>
      <c r="F7" s="50">
        <v>2.5649999999999999</v>
      </c>
      <c r="G7" s="53">
        <f t="shared" ref="G7:G8" si="8">F7/25.4</f>
        <v>0.10098425196850394</v>
      </c>
      <c r="H7" s="54">
        <f t="shared" ref="H7:H8" si="9">((C7/2)^2)*PI()*B7/1000</f>
        <v>2.4730401093338275</v>
      </c>
      <c r="I7" s="55">
        <f t="shared" ref="I7:I8" si="10">360/PI()*(PI()-ACOS((B7*B7/2+E7*E7-D7*B7-B7*E7+2*D7*E7)/B7/(D7-B7/2+E7)))</f>
        <v>195.56188699189502</v>
      </c>
      <c r="J7" s="83">
        <f>0.00165+0.00165+0.003</f>
        <v>6.3E-3</v>
      </c>
      <c r="K7" s="58">
        <f>(F7/25.4)-0.098+J7</f>
        <v>9.2842519685039371E-3</v>
      </c>
      <c r="L7" s="59">
        <f t="shared" ref="L7:L8" si="11">K7*25.4</f>
        <v>0.23582</v>
      </c>
      <c r="M7" s="60">
        <f t="shared" ref="M7:M8" si="12">(PI()*C7*C7/4*(B7-E7+L7)+N7)/(PI()*C7*C7/4*L7+N7)</f>
        <v>6.9705512519947792</v>
      </c>
      <c r="N7" s="61">
        <v>164</v>
      </c>
      <c r="O7" s="62" t="s">
        <v>18</v>
      </c>
    </row>
    <row r="8" spans="1:15" ht="13.5" customHeight="1">
      <c r="A8" s="49" t="s">
        <v>24</v>
      </c>
      <c r="B8" s="82">
        <f t="shared" si="6"/>
        <v>13.957299999999998</v>
      </c>
      <c r="C8" s="51">
        <v>15.02</v>
      </c>
      <c r="D8" s="52">
        <v>27</v>
      </c>
      <c r="E8" s="82">
        <f t="shared" si="7"/>
        <v>7.0230999999999986</v>
      </c>
      <c r="F8" s="50">
        <v>2.5649999999999999</v>
      </c>
      <c r="G8" s="53">
        <f t="shared" si="8"/>
        <v>0.10098425196850394</v>
      </c>
      <c r="H8" s="54">
        <f t="shared" si="9"/>
        <v>2.4730401093338275</v>
      </c>
      <c r="I8" s="55">
        <f t="shared" si="10"/>
        <v>195.56188699189502</v>
      </c>
      <c r="J8" s="83">
        <f>0.0085</f>
        <v>8.5000000000000006E-3</v>
      </c>
      <c r="K8" s="58">
        <f>(F8/25.4)-0.0965+J8</f>
        <v>1.2984251968503939E-2</v>
      </c>
      <c r="L8" s="59">
        <f t="shared" si="11"/>
        <v>0.32980000000000004</v>
      </c>
      <c r="M8" s="60">
        <f t="shared" si="12"/>
        <v>8.2944276260636141</v>
      </c>
      <c r="N8" s="61">
        <v>110</v>
      </c>
      <c r="O8" s="62" t="s">
        <v>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abSelected="1" workbookViewId="0">
      <selection activeCell="B8" sqref="B8"/>
    </sheetView>
  </sheetViews>
  <sheetFormatPr baseColWidth="10" defaultColWidth="14.5" defaultRowHeight="12.75" customHeight="1" x14ac:dyDescent="0"/>
  <cols>
    <col min="1" max="1" width="16.5" customWidth="1"/>
    <col min="2" max="6" width="6.5" customWidth="1"/>
    <col min="7" max="9" width="8" customWidth="1"/>
    <col min="10" max="12" width="8.6640625" customWidth="1"/>
    <col min="13" max="13" width="6.5" customWidth="1"/>
    <col min="14" max="14" width="8" customWidth="1"/>
    <col min="15" max="15" width="20" customWidth="1"/>
    <col min="16" max="16" width="20.5" customWidth="1"/>
    <col min="17" max="17" width="8.33203125" customWidth="1"/>
  </cols>
  <sheetData>
    <row r="1" spans="1:16" ht="13.5" customHeight="1">
      <c r="A1" s="1" t="s">
        <v>0</v>
      </c>
      <c r="B1" s="2" t="s">
        <v>1</v>
      </c>
      <c r="C1" s="2" t="s">
        <v>3</v>
      </c>
      <c r="D1" s="3" t="s">
        <v>6</v>
      </c>
      <c r="E1" s="4" t="s">
        <v>7</v>
      </c>
      <c r="F1" s="5" t="s">
        <v>4</v>
      </c>
      <c r="G1" s="5" t="s">
        <v>5</v>
      </c>
      <c r="H1" s="5" t="s">
        <v>8</v>
      </c>
      <c r="I1" s="6" t="s">
        <v>9</v>
      </c>
      <c r="J1" s="4" t="s">
        <v>10</v>
      </c>
      <c r="K1" s="7" t="s">
        <v>11</v>
      </c>
      <c r="L1" s="8" t="s">
        <v>12</v>
      </c>
      <c r="M1" s="9"/>
      <c r="N1" s="3"/>
      <c r="O1" s="10"/>
    </row>
    <row r="2" spans="1:16" ht="13.5" customHeight="1">
      <c r="A2" s="36" t="s">
        <v>19</v>
      </c>
      <c r="B2" s="37">
        <f>25.4*(0.659-0.107)</f>
        <v>14.020800000000001</v>
      </c>
      <c r="C2" s="38">
        <v>15</v>
      </c>
      <c r="D2" s="39">
        <v>26</v>
      </c>
      <c r="E2" s="37">
        <f>25.4*(0.659-0.416)</f>
        <v>6.172200000000001</v>
      </c>
      <c r="F2" s="41">
        <v>2.72</v>
      </c>
      <c r="G2" s="42">
        <f t="shared" ref="G2:G3" si="0">F2/25.4</f>
        <v>0.10708661417322836</v>
      </c>
      <c r="H2" s="43">
        <f t="shared" ref="H2:H3" si="1">((C2/2)^2)*PI()*B2/1000</f>
        <v>2.4776798781066622</v>
      </c>
      <c r="I2" s="44">
        <f t="shared" ref="I2:I3" si="2">360/PI()*(PI()-ACOS((B2*B2/2+E2*E2-D2*B2-B2*E2+2*D2*E2)/B2/(D2-B2/2+E2)))</f>
        <v>182.03407137667801</v>
      </c>
      <c r="J2" s="45">
        <v>5.0000000000000001E-3</v>
      </c>
      <c r="K2" s="46">
        <f>(F2/25.4)-0.104+J2</f>
        <v>8.0866141732283646E-3</v>
      </c>
      <c r="L2" s="47">
        <f t="shared" ref="L2:L3" si="3">K2*25.4</f>
        <v>0.20540000000000044</v>
      </c>
      <c r="M2" s="48"/>
      <c r="N2" s="3"/>
      <c r="O2" s="10"/>
    </row>
    <row r="3" spans="1:16" ht="13.5" customHeight="1">
      <c r="A3" s="36" t="s">
        <v>23</v>
      </c>
      <c r="B3" s="37">
        <f>25.4*(0.658-0.11)</f>
        <v>13.9192</v>
      </c>
      <c r="C3" s="38">
        <v>15</v>
      </c>
      <c r="D3" s="39">
        <v>27</v>
      </c>
      <c r="E3" s="37">
        <f>25.4*(0.658-0.412)</f>
        <v>6.2484000000000011</v>
      </c>
      <c r="F3" s="41">
        <v>2.8</v>
      </c>
      <c r="G3" s="42">
        <f t="shared" si="0"/>
        <v>0.11023622047244094</v>
      </c>
      <c r="H3" s="43">
        <f t="shared" si="1"/>
        <v>2.4597256760913964</v>
      </c>
      <c r="I3" s="44">
        <f t="shared" si="2"/>
        <v>183.30024482831124</v>
      </c>
      <c r="J3" s="45">
        <v>1.6E-2</v>
      </c>
      <c r="K3" s="46">
        <f>(F3/25.4)-0.116+J3</f>
        <v>1.0236220472440938E-2</v>
      </c>
      <c r="L3" s="47">
        <f t="shared" si="3"/>
        <v>0.25999999999999979</v>
      </c>
      <c r="M3" s="48"/>
      <c r="N3" s="3"/>
      <c r="O3" s="10"/>
      <c r="P3" s="10"/>
    </row>
    <row r="4" spans="1:16" ht="13.5" customHeight="1">
      <c r="A4" s="78"/>
      <c r="B4" s="37"/>
      <c r="C4" s="79"/>
      <c r="D4" s="80"/>
      <c r="E4" s="37"/>
      <c r="F4" s="37"/>
      <c r="G4" s="42"/>
      <c r="H4" s="43"/>
      <c r="I4" s="44"/>
      <c r="J4" s="57"/>
      <c r="K4" s="46"/>
      <c r="L4" s="47"/>
      <c r="M4" s="48"/>
      <c r="N4" s="56"/>
      <c r="P4" s="8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Irvine</vt:lpstr>
      <vt:lpstr>CSTKAM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Alexander</cp:lastModifiedBy>
  <dcterms:created xsi:type="dcterms:W3CDTF">2015-08-11T16:25:08Z</dcterms:created>
  <dcterms:modified xsi:type="dcterms:W3CDTF">2015-08-11T16:28:01Z</dcterms:modified>
</cp:coreProperties>
</file>